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400" tabRatio="712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<sst xmlns="http://schemas.openxmlformats.org/spreadsheetml/2006/main" count="98" uniqueCount="56">
  <si>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Conventional</t>
  </si>
  <si>
    <t>Cows</t>
  </si>
  <si>
    <t>Heifers</t>
  </si>
  <si>
    <t>GenChoice 90</t>
  </si>
  <si>
    <t>GenChoice 75</t>
  </si>
  <si>
    <t>Conception Rate</t>
  </si>
  <si>
    <t>Total</t>
  </si>
  <si>
    <t>Conventional Heifer Calves</t>
  </si>
  <si>
    <t>Gen90 Bull Calves</t>
  </si>
  <si>
    <t>Gen90 Heifer Calves</t>
  </si>
  <si>
    <t>Gen75 Bull Calves</t>
  </si>
  <si>
    <t>Gen75 Heifer Calves</t>
  </si>
  <si>
    <t>Beef Conv Bull Calves</t>
  </si>
  <si>
    <t>Beef Conv Heifer Calves</t>
  </si>
  <si>
    <t>Beef Gen75 Bull Calves</t>
  </si>
  <si>
    <t>Beef Gen75 Heifer Calves</t>
  </si>
  <si>
    <t>Overall Conception Rate</t>
  </si>
  <si>
    <t>Services per Conception</t>
  </si>
  <si>
    <t>Beef Conventional Units</t>
  </si>
  <si>
    <t>Beef GenChoice 75 Units</t>
  </si>
  <si>
    <t>Pregnant Cows Culled</t>
  </si>
  <si>
    <t>Pregnancy Loss (Post Preg Check)</t>
  </si>
  <si>
    <t>Stillborn % of Male Calves</t>
  </si>
  <si>
    <t>Stillborn % of Female Calves</t>
  </si>
  <si>
    <t>Total Calves</t>
  </si>
  <si>
    <t>Annual Cull Rate</t>
  </si>
  <si>
    <t>Percent Annual Growth (Goal)</t>
  </si>
  <si>
    <t>Annual Dairy Heifers Needed</t>
  </si>
  <si>
    <t>Conventional Bull Calves</t>
  </si>
  <si>
    <t>Number Cows</t>
  </si>
  <si>
    <r>
      <t xml:space="preserve">Percent Beef </t>
    </r>
    <r>
      <rPr>
        <sz val="11"/>
        <rFont val="Calibri"/>
        <family val="2"/>
      </rPr>
      <t>Conventional</t>
    </r>
  </si>
  <si>
    <t xml:space="preserve">Total Units </t>
  </si>
  <si>
    <t>Number of Dairy Heifers Yielded</t>
  </si>
  <si>
    <r>
      <t xml:space="preserve">Percent </t>
    </r>
    <r>
      <rPr>
        <sz val="11"/>
        <rFont val="Calibri"/>
        <family val="2"/>
      </rPr>
      <t>Dairy</t>
    </r>
    <r>
      <rPr>
        <sz val="11"/>
        <rFont val="Calibri"/>
        <family val="2"/>
      </rPr>
      <t xml:space="preserve"> Conventional</t>
    </r>
  </si>
  <si>
    <r>
      <t xml:space="preserve">Percent </t>
    </r>
    <r>
      <rPr>
        <sz val="11"/>
        <rFont val="Calibri"/>
        <family val="2"/>
      </rPr>
      <t xml:space="preserve">Dairy </t>
    </r>
    <r>
      <rPr>
        <sz val="11"/>
        <rFont val="Calibri"/>
        <family val="2"/>
      </rPr>
      <t>GenChoice 90</t>
    </r>
  </si>
  <si>
    <r>
      <t xml:space="preserve">Percent </t>
    </r>
    <r>
      <rPr>
        <sz val="11"/>
        <rFont val="Calibri"/>
        <family val="2"/>
      </rPr>
      <t xml:space="preserve"> Dairy </t>
    </r>
    <r>
      <rPr>
        <sz val="11"/>
        <rFont val="Calibri"/>
        <family val="2"/>
      </rPr>
      <t>GenChoice 75</t>
    </r>
  </si>
  <si>
    <r>
      <t>Percent Beef Gen</t>
    </r>
    <r>
      <rPr>
        <sz val="11"/>
        <rFont val="Calibri"/>
        <family val="2"/>
      </rPr>
      <t>Choice</t>
    </r>
    <r>
      <rPr>
        <sz val="11"/>
        <rFont val="Calibri"/>
        <family val="2"/>
      </rPr>
      <t xml:space="preserve"> 75</t>
    </r>
  </si>
  <si>
    <r>
      <rPr>
        <sz val="11"/>
        <rFont val="Calibri"/>
        <family val="2"/>
      </rPr>
      <t>Dairy</t>
    </r>
    <r>
      <rPr>
        <sz val="11"/>
        <rFont val="Calibri"/>
        <family val="2"/>
      </rPr>
      <t xml:space="preserve"> Conventional Units</t>
    </r>
  </si>
  <si>
    <r>
      <rPr>
        <sz val="11"/>
        <rFont val="Calibri"/>
        <family val="2"/>
      </rPr>
      <t>Dairy</t>
    </r>
    <r>
      <rPr>
        <sz val="11"/>
        <rFont val="Calibri"/>
        <family val="2"/>
      </rPr>
      <t xml:space="preserve"> GenChoice 90 Units</t>
    </r>
  </si>
  <si>
    <r>
      <rPr>
        <sz val="11"/>
        <rFont val="Calibri"/>
        <family val="2"/>
      </rPr>
      <t>Dairy</t>
    </r>
    <r>
      <rPr>
        <sz val="11"/>
        <rFont val="Calibri"/>
        <family val="2"/>
      </rPr>
      <t xml:space="preserve"> GenChoice 75 Units</t>
    </r>
  </si>
  <si>
    <r>
      <rPr>
        <sz val="11"/>
        <rFont val="Calibri"/>
        <family val="2"/>
      </rPr>
      <t>Number</t>
    </r>
    <r>
      <rPr>
        <sz val="11"/>
        <rFont val="Calibri"/>
        <family val="2"/>
      </rPr>
      <t xml:space="preserve"> Breeding Age Heifers</t>
    </r>
  </si>
  <si>
    <r>
      <t xml:space="preserve">Percent </t>
    </r>
    <r>
      <rPr>
        <sz val="11"/>
        <rFont val="Calibri"/>
        <family val="2"/>
      </rPr>
      <t>Dairy</t>
    </r>
    <r>
      <rPr>
        <sz val="11"/>
        <rFont val="Calibri"/>
        <family val="2"/>
      </rPr>
      <t xml:space="preserve"> GenChoice 90</t>
    </r>
  </si>
  <si>
    <r>
      <t xml:space="preserve">Percent </t>
    </r>
    <r>
      <rPr>
        <sz val="11"/>
        <rFont val="Calibri"/>
        <family val="2"/>
      </rPr>
      <t>Dairy</t>
    </r>
    <r>
      <rPr>
        <sz val="11"/>
        <rFont val="Calibri"/>
        <family val="2"/>
      </rPr>
      <t xml:space="preserve"> GenChoice 75</t>
    </r>
  </si>
  <si>
    <r>
      <rPr>
        <sz val="11"/>
        <rFont val="Calibri"/>
        <family val="2"/>
      </rPr>
      <t xml:space="preserve">Dairy </t>
    </r>
    <r>
      <rPr>
        <sz val="11"/>
        <rFont val="Calibri"/>
        <family val="2"/>
      </rPr>
      <t>GenChoice 75 Units</t>
    </r>
  </si>
  <si>
    <r>
      <t>Heifer Death Los</t>
    </r>
    <r>
      <rPr>
        <sz val="11"/>
        <rFont val="Calibri"/>
        <family val="2"/>
      </rPr>
      <t>s</t>
    </r>
    <r>
      <rPr>
        <sz val="11"/>
        <rFont val="Calibri"/>
        <family val="2"/>
      </rPr>
      <t xml:space="preserve"> (Post Preg Check)</t>
    </r>
  </si>
  <si>
    <t>DAIRY</t>
  </si>
  <si>
    <t>BEEF</t>
  </si>
  <si>
    <t>Total Dairy Male Calves</t>
  </si>
  <si>
    <t>Total Dairy Female Calves</t>
  </si>
  <si>
    <t>Total Beef Male Calves</t>
  </si>
  <si>
    <t>Total Beef Female Calves</t>
  </si>
  <si>
    <t>Female Sex Ratio</t>
  </si>
  <si>
    <t>Percent "DNB"</t>
  </si>
  <si>
    <t>Calving Interval</t>
  </si>
  <si>
    <t>Age at First Calving</t>
  </si>
  <si>
    <t>Heifer Rearing Loss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</si>
</sst>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_);_(&quot;$&quot;* \(#,##0\);_(&quot;$&quot;* &quot;-&quot;??_);_(@_)"/>
    <numFmt numFmtId="17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0" fillId="33" borderId="9" applyBorder="0">
      <alignment horizontal="center"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9" fontId="1" fillId="0" borderId="0" xfId="59" applyFont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35" borderId="0" xfId="0" applyNumberFormat="1" applyFill="1" applyAlignment="1">
      <alignment/>
    </xf>
    <xf numFmtId="0" fontId="0" fillId="0" borderId="13" xfId="0" applyBorder="1" applyAlignment="1">
      <alignment/>
    </xf>
    <xf numFmtId="1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9" fontId="1" fillId="0" borderId="0" xfId="59" applyFont="1" applyFill="1" applyAlignment="1">
      <alignment/>
    </xf>
    <xf numFmtId="3" fontId="0" fillId="0" borderId="0" xfId="0" applyNumberFormat="1" applyAlignment="1">
      <alignment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 applyProtection="1">
      <alignment/>
      <protection locked="0"/>
    </xf>
    <xf numFmtId="9" fontId="1" fillId="38" borderId="0" xfId="59" applyFont="1" applyFill="1" applyAlignment="1" applyProtection="1">
      <alignment/>
      <protection locked="0"/>
    </xf>
    <xf numFmtId="9" fontId="1" fillId="38" borderId="11" xfId="59" applyFont="1" applyFill="1" applyBorder="1" applyAlignment="1" applyProtection="1">
      <alignment/>
      <protection locked="0"/>
    </xf>
    <xf numFmtId="9" fontId="1" fillId="38" borderId="12" xfId="59" applyFont="1" applyFill="1" applyBorder="1" applyAlignment="1" applyProtection="1">
      <alignment/>
      <protection locked="0"/>
    </xf>
    <xf numFmtId="9" fontId="1" fillId="38" borderId="14" xfId="59" applyFont="1" applyFill="1" applyBorder="1" applyAlignment="1" applyProtection="1">
      <alignment/>
      <protection locked="0"/>
    </xf>
    <xf numFmtId="9" fontId="1" fillId="38" borderId="15" xfId="59" applyFont="1" applyFill="1" applyBorder="1" applyAlignment="1" applyProtection="1">
      <alignment/>
      <protection locked="0"/>
    </xf>
    <xf numFmtId="9" fontId="1" fillId="35" borderId="0" xfId="59" applyFont="1" applyFill="1" applyAlignment="1" applyProtection="1">
      <alignment/>
      <protection hidden="1"/>
    </xf>
    <xf numFmtId="9" fontId="1" fillId="0" borderId="0" xfId="59" applyFont="1" applyAlignment="1" applyProtection="1">
      <alignment/>
      <protection hidden="1"/>
    </xf>
    <xf numFmtId="164" fontId="1" fillId="35" borderId="0" xfId="59" applyNumberFormat="1" applyFont="1" applyFill="1" applyAlignment="1" applyProtection="1">
      <alignment/>
      <protection hidden="1"/>
    </xf>
    <xf numFmtId="1" fontId="1" fillId="35" borderId="0" xfId="59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0" fillId="35" borderId="0" xfId="0" applyNumberFormat="1" applyFill="1" applyAlignment="1" applyProtection="1">
      <alignment/>
      <protection hidden="1"/>
    </xf>
    <xf numFmtId="1" fontId="0" fillId="35" borderId="0" xfId="0" applyNumberFormat="1" applyFill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0" fillId="35" borderId="13" xfId="0" applyNumberFormat="1" applyFill="1" applyBorder="1" applyAlignment="1" applyProtection="1">
      <alignment/>
      <protection hidden="1"/>
    </xf>
    <xf numFmtId="9" fontId="0" fillId="38" borderId="0" xfId="21" applyNumberFormat="1" applyFill="1" applyAlignment="1" applyProtection="1">
      <alignment/>
      <protection locked="0"/>
    </xf>
    <xf numFmtId="164" fontId="1" fillId="38" borderId="0" xfId="59" applyNumberFormat="1" applyFont="1" applyFill="1" applyAlignment="1" applyProtection="1">
      <alignment/>
      <protection locked="0"/>
    </xf>
    <xf numFmtId="164" fontId="0" fillId="38" borderId="0" xfId="0" applyNumberFormat="1" applyFill="1" applyAlignment="1" applyProtection="1">
      <alignment/>
      <protection locked="0"/>
    </xf>
    <xf numFmtId="9" fontId="1" fillId="38" borderId="0" xfId="59" applyFill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34" borderId="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2" fillId="0" borderId="0" xfId="0" applyFont="1" applyAlignment="1">
      <alignment/>
    </xf>
    <xf numFmtId="0" fontId="0" fillId="36" borderId="9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37" borderId="9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0" xfId="0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5" fillId="0" borderId="17" xfId="0" applyNumberFormat="1" applyFont="1" applyBorder="1" applyAlignment="1" applyProtection="1">
      <alignment horizontal="center"/>
      <protection hidden="1"/>
    </xf>
    <xf numFmtId="3" fontId="5" fillId="0" borderId="18" xfId="0" applyNumberFormat="1" applyFont="1" applyBorder="1" applyAlignment="1" applyProtection="1">
      <alignment horizontal="center"/>
      <protection hidden="1"/>
    </xf>
    <xf numFmtId="3" fontId="5" fillId="0" borderId="19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219075</xdr:rowOff>
    </xdr:from>
    <xdr:to>
      <xdr:col>8</xdr:col>
      <xdr:colOff>0</xdr:colOff>
      <xdr:row>0</xdr:row>
      <xdr:rowOff>1085850</xdr:rowOff>
    </xdr:to>
    <xdr:pic>
      <xdr:nvPicPr>
        <xdr:cNvPr id="1" name="Picture 1" descr="CALF MATH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19075"/>
          <a:ext cx="3276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1562100</xdr:colOff>
      <xdr:row>0</xdr:row>
      <xdr:rowOff>57150</xdr:rowOff>
    </xdr:from>
    <xdr:to>
      <xdr:col>1</xdr:col>
      <xdr:colOff>504825</xdr:colOff>
      <xdr:row>0</xdr:row>
      <xdr:rowOff>1085850</xdr:rowOff>
    </xdr:to>
    <xdr:pic>
      <xdr:nvPicPr>
        <xdr:cNvPr id="2" name="Picture 2" descr="CRI Round Logo-1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57150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E57" sqref="E57:G57"/>
    </sheetView>
  </sheetViews>
  <sheetFormatPr defaultColWidth="9.140625" defaultRowHeight="15"/>
  <cols>
    <col min="1" max="1" width="31.421875" style="0" bestFit="1" customWidth="1"/>
    <col min="2" max="11" width="8.28125" style="0" customWidth="1"/>
  </cols>
  <sheetData>
    <row r="1" spans="1:11" ht="88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4.25" customHeight="1">
      <c r="A3" s="16" t="s">
        <v>29</v>
      </c>
      <c r="B3" s="19">
        <v>500</v>
      </c>
      <c r="G3" s="47" t="s">
        <v>25</v>
      </c>
      <c r="H3" s="47"/>
      <c r="I3" s="47"/>
      <c r="J3" s="47"/>
      <c r="K3" s="20">
        <v>0.33</v>
      </c>
    </row>
    <row r="4" spans="1:11" ht="15">
      <c r="A4" s="16" t="s">
        <v>40</v>
      </c>
      <c r="B4" s="19">
        <v>200</v>
      </c>
      <c r="G4" s="47" t="s">
        <v>26</v>
      </c>
      <c r="H4" s="47"/>
      <c r="I4" s="47"/>
      <c r="J4" s="47"/>
      <c r="K4" s="20">
        <v>0</v>
      </c>
    </row>
    <row r="5" spans="1:11" s="9" customFormat="1" ht="15.75" thickBot="1">
      <c r="A5" s="17"/>
      <c r="G5" s="18"/>
      <c r="H5" s="18"/>
      <c r="I5" s="18"/>
      <c r="J5" s="18"/>
      <c r="K5" s="10"/>
    </row>
    <row r="6" spans="2:11" ht="15.75" thickBot="1">
      <c r="B6" s="48" t="s">
        <v>45</v>
      </c>
      <c r="C6" s="49"/>
      <c r="D6" s="49"/>
      <c r="E6" s="49"/>
      <c r="F6" s="49"/>
      <c r="G6" s="50"/>
      <c r="H6" s="48" t="s">
        <v>46</v>
      </c>
      <c r="I6" s="49"/>
      <c r="J6" s="49"/>
      <c r="K6" s="50"/>
    </row>
    <row r="7" spans="2:11" ht="15">
      <c r="B7" s="42" t="s">
        <v>0</v>
      </c>
      <c r="C7" s="43"/>
      <c r="D7" s="39" t="s">
        <v>3</v>
      </c>
      <c r="E7" s="40"/>
      <c r="F7" s="45" t="s">
        <v>4</v>
      </c>
      <c r="G7" s="46"/>
      <c r="H7" s="42" t="s">
        <v>0</v>
      </c>
      <c r="I7" s="43"/>
      <c r="J7" s="45" t="s">
        <v>4</v>
      </c>
      <c r="K7" s="46"/>
    </row>
    <row r="8" spans="2:11" ht="15">
      <c r="B8" s="12" t="s">
        <v>1</v>
      </c>
      <c r="C8" s="13" t="s">
        <v>2</v>
      </c>
      <c r="D8" s="3" t="s">
        <v>1</v>
      </c>
      <c r="E8" s="4" t="s">
        <v>2</v>
      </c>
      <c r="F8" s="14" t="s">
        <v>1</v>
      </c>
      <c r="G8" s="15" t="s">
        <v>2</v>
      </c>
      <c r="H8" s="12" t="s">
        <v>1</v>
      </c>
      <c r="I8" s="13" t="s">
        <v>2</v>
      </c>
      <c r="J8" s="14" t="s">
        <v>1</v>
      </c>
      <c r="K8" s="15" t="s">
        <v>2</v>
      </c>
    </row>
    <row r="9" spans="1:11" ht="15">
      <c r="A9" t="s">
        <v>5</v>
      </c>
      <c r="B9" s="21">
        <v>0.35</v>
      </c>
      <c r="C9" s="22">
        <v>0.62</v>
      </c>
      <c r="D9" s="21">
        <v>0.32</v>
      </c>
      <c r="E9" s="22">
        <v>0.47</v>
      </c>
      <c r="F9" s="21">
        <v>0.32</v>
      </c>
      <c r="G9" s="22">
        <v>0.47</v>
      </c>
      <c r="H9" s="21">
        <v>0.4</v>
      </c>
      <c r="I9" s="22">
        <v>0.64</v>
      </c>
      <c r="J9" s="21">
        <v>0.32</v>
      </c>
      <c r="K9" s="22">
        <v>0.47</v>
      </c>
    </row>
    <row r="10" spans="1:11" ht="15.75" thickBot="1">
      <c r="A10" t="s">
        <v>51</v>
      </c>
      <c r="B10" s="23">
        <v>0.48</v>
      </c>
      <c r="C10" s="24">
        <v>0.48</v>
      </c>
      <c r="D10" s="23">
        <v>0.9</v>
      </c>
      <c r="E10" s="24">
        <v>0.9</v>
      </c>
      <c r="F10" s="23">
        <v>0.75</v>
      </c>
      <c r="G10" s="24">
        <v>0.75</v>
      </c>
      <c r="H10" s="23">
        <v>0.48</v>
      </c>
      <c r="I10" s="24">
        <v>0.48</v>
      </c>
      <c r="J10" s="23">
        <v>0.25</v>
      </c>
      <c r="K10" s="24">
        <v>0.25</v>
      </c>
    </row>
    <row r="12" spans="1:11" ht="21.75" thickBot="1">
      <c r="A12" s="44" t="s">
        <v>1</v>
      </c>
      <c r="B12" s="44"/>
      <c r="G12" s="44" t="s">
        <v>2</v>
      </c>
      <c r="H12" s="44"/>
      <c r="I12" s="44"/>
      <c r="J12" s="44"/>
      <c r="K12" s="44"/>
    </row>
    <row r="13" spans="1:11" ht="15">
      <c r="A13" s="16" t="s">
        <v>33</v>
      </c>
      <c r="B13" s="20">
        <v>0.55</v>
      </c>
      <c r="G13" s="41" t="s">
        <v>33</v>
      </c>
      <c r="H13" s="41"/>
      <c r="I13" s="41"/>
      <c r="J13" s="41"/>
      <c r="K13" s="20">
        <v>0.2</v>
      </c>
    </row>
    <row r="14" spans="1:11" ht="15">
      <c r="A14" s="16" t="s">
        <v>34</v>
      </c>
      <c r="B14" s="20">
        <v>0</v>
      </c>
      <c r="G14" s="41" t="s">
        <v>41</v>
      </c>
      <c r="H14" s="41"/>
      <c r="I14" s="41"/>
      <c r="J14" s="41"/>
      <c r="K14" s="20">
        <v>0.65</v>
      </c>
    </row>
    <row r="15" spans="1:11" ht="15">
      <c r="A15" s="16" t="s">
        <v>35</v>
      </c>
      <c r="B15" s="20">
        <v>0.3</v>
      </c>
      <c r="G15" s="41" t="s">
        <v>42</v>
      </c>
      <c r="H15" s="41"/>
      <c r="I15" s="41"/>
      <c r="J15" s="41"/>
      <c r="K15" s="20">
        <v>0</v>
      </c>
    </row>
    <row r="16" spans="1:11" ht="15">
      <c r="A16" s="16" t="s">
        <v>30</v>
      </c>
      <c r="B16" s="20">
        <v>0.15</v>
      </c>
      <c r="G16" s="41" t="s">
        <v>30</v>
      </c>
      <c r="H16" s="41"/>
      <c r="I16" s="41"/>
      <c r="J16" s="41"/>
      <c r="K16" s="20">
        <v>0</v>
      </c>
    </row>
    <row r="17" spans="1:11" ht="15">
      <c r="A17" s="16" t="s">
        <v>36</v>
      </c>
      <c r="B17" s="20">
        <v>0</v>
      </c>
      <c r="G17" s="41" t="s">
        <v>36</v>
      </c>
      <c r="H17" s="41"/>
      <c r="I17" s="41"/>
      <c r="J17" s="41"/>
      <c r="K17" s="20">
        <v>0.15</v>
      </c>
    </row>
    <row r="18" spans="1:11" ht="15">
      <c r="A18" s="16" t="s">
        <v>6</v>
      </c>
      <c r="B18" s="25">
        <f>SUM(B13:B17)</f>
        <v>1</v>
      </c>
      <c r="G18" s="41" t="s">
        <v>6</v>
      </c>
      <c r="H18" s="41"/>
      <c r="I18" s="41"/>
      <c r="J18" s="41"/>
      <c r="K18" s="25">
        <f>SUM(K13:K17)</f>
        <v>1</v>
      </c>
    </row>
    <row r="19" spans="1:11" ht="15">
      <c r="A19" s="16"/>
      <c r="B19" s="26"/>
      <c r="G19" s="16"/>
      <c r="H19" s="16"/>
      <c r="I19" s="16"/>
      <c r="J19" s="16"/>
      <c r="K19" s="29"/>
    </row>
    <row r="20" spans="1:11" ht="15">
      <c r="A20" s="16" t="s">
        <v>16</v>
      </c>
      <c r="B20" s="25">
        <f>IF(B18=100%,(B13*B9)+(B14*D9)+(B15*F9)+(B16*H9)+(B17*J9),"ERROR")</f>
        <v>0.3485</v>
      </c>
      <c r="G20" s="41" t="s">
        <v>16</v>
      </c>
      <c r="H20" s="41"/>
      <c r="I20" s="41"/>
      <c r="J20" s="41"/>
      <c r="K20" s="25">
        <f>IF(K18=100%,(K13*C9)+(K14*E9)+(K15*G9)+(K16*I9)+(K17*K9),"ERROR")</f>
        <v>0.5</v>
      </c>
    </row>
    <row r="21" spans="1:11" ht="15">
      <c r="A21" s="16" t="s">
        <v>17</v>
      </c>
      <c r="B21" s="27">
        <f>1/B20</f>
        <v>2.8694404591104736</v>
      </c>
      <c r="G21" s="41" t="s">
        <v>17</v>
      </c>
      <c r="H21" s="41"/>
      <c r="I21" s="41"/>
      <c r="J21" s="41"/>
      <c r="K21" s="30">
        <f>1/K20</f>
        <v>2</v>
      </c>
    </row>
    <row r="22" spans="1:11" ht="15">
      <c r="A22" s="16" t="s">
        <v>31</v>
      </c>
      <c r="B22" s="28">
        <f>B21*(B3*(12/B29))</f>
        <v>1275.3068707157659</v>
      </c>
      <c r="G22" s="41" t="s">
        <v>31</v>
      </c>
      <c r="H22" s="41"/>
      <c r="I22" s="41"/>
      <c r="J22" s="41"/>
      <c r="K22" s="31">
        <f>K21*(B4*(24/K30))</f>
        <v>391.83673469387753</v>
      </c>
    </row>
    <row r="23" spans="1:11" ht="15">
      <c r="A23" s="16" t="s">
        <v>37</v>
      </c>
      <c r="B23" s="28">
        <f>$B$22*B13</f>
        <v>701.4187788936713</v>
      </c>
      <c r="G23" s="41" t="s">
        <v>37</v>
      </c>
      <c r="H23" s="41"/>
      <c r="I23" s="41"/>
      <c r="J23" s="41"/>
      <c r="K23" s="31">
        <f>$K$22*K13</f>
        <v>78.36734693877551</v>
      </c>
    </row>
    <row r="24" spans="1:11" ht="15">
      <c r="A24" s="16" t="s">
        <v>38</v>
      </c>
      <c r="B24" s="28">
        <f>$B$22*B14</f>
        <v>0</v>
      </c>
      <c r="G24" s="41" t="s">
        <v>38</v>
      </c>
      <c r="H24" s="41"/>
      <c r="I24" s="41"/>
      <c r="J24" s="41"/>
      <c r="K24" s="31">
        <f>$K$22*K14</f>
        <v>254.6938775510204</v>
      </c>
    </row>
    <row r="25" spans="1:11" ht="15">
      <c r="A25" s="16" t="s">
        <v>39</v>
      </c>
      <c r="B25" s="28">
        <f>$B$22*B15</f>
        <v>382.59206121472977</v>
      </c>
      <c r="G25" s="41" t="s">
        <v>43</v>
      </c>
      <c r="H25" s="41"/>
      <c r="I25" s="41"/>
      <c r="J25" s="41"/>
      <c r="K25" s="31">
        <f>$K$22*K15</f>
        <v>0</v>
      </c>
    </row>
    <row r="26" spans="1:11" ht="15">
      <c r="A26" t="s">
        <v>18</v>
      </c>
      <c r="B26" s="28">
        <f>$B$22*B16</f>
        <v>191.29603060736488</v>
      </c>
      <c r="G26" s="47" t="s">
        <v>18</v>
      </c>
      <c r="H26" s="47"/>
      <c r="I26" s="47"/>
      <c r="J26" s="47"/>
      <c r="K26" s="31">
        <f>$K$22*K16</f>
        <v>0</v>
      </c>
    </row>
    <row r="27" spans="1:11" ht="15">
      <c r="A27" t="s">
        <v>19</v>
      </c>
      <c r="B27" s="28">
        <f>$B$22*B17</f>
        <v>0</v>
      </c>
      <c r="G27" s="47" t="s">
        <v>19</v>
      </c>
      <c r="H27" s="47"/>
      <c r="I27" s="47"/>
      <c r="J27" s="47"/>
      <c r="K27" s="31">
        <f>$K$22*K17</f>
        <v>58.77551020408163</v>
      </c>
    </row>
    <row r="28" ht="15">
      <c r="B28" s="2"/>
    </row>
    <row r="29" spans="1:2" ht="15">
      <c r="A29" t="s">
        <v>53</v>
      </c>
      <c r="B29" s="35">
        <v>13.5</v>
      </c>
    </row>
    <row r="30" spans="1:11" ht="15">
      <c r="A30" t="s">
        <v>52</v>
      </c>
      <c r="B30" s="20">
        <v>0.02</v>
      </c>
      <c r="G30" s="47" t="s">
        <v>54</v>
      </c>
      <c r="H30" s="47"/>
      <c r="I30" s="47"/>
      <c r="J30" s="47"/>
      <c r="K30" s="36">
        <v>24.5</v>
      </c>
    </row>
    <row r="31" spans="1:11" ht="15">
      <c r="A31" t="s">
        <v>20</v>
      </c>
      <c r="B31" s="34">
        <v>0.13</v>
      </c>
      <c r="G31" s="51" t="s">
        <v>44</v>
      </c>
      <c r="H31" s="51"/>
      <c r="I31" s="51"/>
      <c r="J31" s="51"/>
      <c r="K31" s="34">
        <v>0.05</v>
      </c>
    </row>
    <row r="32" spans="1:11" ht="15">
      <c r="A32" t="s">
        <v>21</v>
      </c>
      <c r="B32" s="34">
        <v>0.1</v>
      </c>
      <c r="G32" s="47" t="s">
        <v>21</v>
      </c>
      <c r="H32" s="47"/>
      <c r="I32" s="47"/>
      <c r="J32" s="47"/>
      <c r="K32" s="34">
        <v>0.1</v>
      </c>
    </row>
    <row r="33" spans="1:11" ht="15">
      <c r="A33" t="s">
        <v>22</v>
      </c>
      <c r="B33" s="34">
        <v>0.08</v>
      </c>
      <c r="G33" s="47" t="s">
        <v>22</v>
      </c>
      <c r="H33" s="47"/>
      <c r="I33" s="47"/>
      <c r="J33" s="47"/>
      <c r="K33" s="34">
        <v>0.126</v>
      </c>
    </row>
    <row r="34" spans="1:11" ht="15">
      <c r="A34" t="s">
        <v>23</v>
      </c>
      <c r="B34" s="34">
        <v>0.04</v>
      </c>
      <c r="G34" s="47" t="s">
        <v>23</v>
      </c>
      <c r="H34" s="47"/>
      <c r="I34" s="47"/>
      <c r="J34" s="47"/>
      <c r="K34" s="34">
        <v>0.094</v>
      </c>
    </row>
    <row r="35" spans="1:11" ht="15">
      <c r="A35" t="s">
        <v>55</v>
      </c>
      <c r="B35" s="37">
        <v>0.1</v>
      </c>
      <c r="G35" s="47" t="s">
        <v>55</v>
      </c>
      <c r="H35" s="47"/>
      <c r="I35" s="47"/>
      <c r="J35" s="47"/>
      <c r="K35" s="37">
        <v>0.1</v>
      </c>
    </row>
    <row r="37" spans="1:11" ht="15" hidden="1">
      <c r="A37" t="s">
        <v>28</v>
      </c>
      <c r="B37" s="6">
        <f>$B$23*$B$9*(1-$B$10)*(1-$B$31)*(1-$B$32)*(1-B33)*(1-B30)</f>
        <v>90.1206762697274</v>
      </c>
      <c r="G37" s="47" t="s">
        <v>28</v>
      </c>
      <c r="H37" s="47"/>
      <c r="I37" s="47"/>
      <c r="J37" s="47"/>
      <c r="K37" s="6">
        <f>$K$23*$C$9*(1-$C$10)*(1-$K$31)*(1-$K$32)*(1-K33)</f>
        <v>18.88024931265306</v>
      </c>
    </row>
    <row r="38" spans="1:11" ht="15" hidden="1">
      <c r="A38" t="s">
        <v>7</v>
      </c>
      <c r="B38" s="6">
        <f>$B$23*$B$9*$B$10*(1-$B$31)*(1-$B$32)*(1-B34)*(1-B30)*(1-B35)</f>
        <v>78.12467989670014</v>
      </c>
      <c r="G38" s="47" t="s">
        <v>7</v>
      </c>
      <c r="H38" s="47"/>
      <c r="I38" s="47"/>
      <c r="J38" s="47"/>
      <c r="K38" s="6">
        <f>$K$23*$C$9*$C$10*(1-$K$31)*(1-$K$32)*(1-K34)*(1-K35)</f>
        <v>16.259414141387758</v>
      </c>
    </row>
    <row r="39" spans="1:11" ht="15" hidden="1">
      <c r="A39" t="s">
        <v>8</v>
      </c>
      <c r="B39" s="6">
        <f>$B$24*$D$9*(1-$D$10)*(1-$B$31)*(1-$B$32)*(1-B33)*(1-B30)</f>
        <v>0</v>
      </c>
      <c r="G39" s="47" t="s">
        <v>8</v>
      </c>
      <c r="H39" s="47"/>
      <c r="I39" s="47"/>
      <c r="J39" s="47"/>
      <c r="K39" s="6">
        <f>$K$24*$E$9*(1-$E$10)*(1-$K$31)*(1-$K$32)</f>
        <v>10.234873469387752</v>
      </c>
    </row>
    <row r="40" spans="1:11" ht="15" hidden="1">
      <c r="A40" t="s">
        <v>9</v>
      </c>
      <c r="B40" s="6">
        <f>$B$24*$D$9*$D$10*(1-$B$31)*(1-$B$32)*(1-B34)*(1-B30)*(1-B35)</f>
        <v>0</v>
      </c>
      <c r="G40" s="47" t="s">
        <v>9</v>
      </c>
      <c r="H40" s="47"/>
      <c r="I40" s="47"/>
      <c r="J40" s="47"/>
      <c r="K40" s="6">
        <f>$K$24*$E$9*$E$10*(1-$K$31)*(1-$K$32)*(1-K34)*(1-K35)</f>
        <v>75.10964244244897</v>
      </c>
    </row>
    <row r="41" spans="1:11" ht="15" hidden="1">
      <c r="A41" t="s">
        <v>10</v>
      </c>
      <c r="B41" s="6">
        <f>$B$25*$F$9*(1-$F$10)*(1-$B$31)*(1-$B$32)*(1-B33)*(1-B30)</f>
        <v>21.60735494978479</v>
      </c>
      <c r="G41" s="47" t="s">
        <v>10</v>
      </c>
      <c r="H41" s="47"/>
      <c r="I41" s="47"/>
      <c r="J41" s="47"/>
      <c r="K41" s="6">
        <f>$K$25*$G$9*(1-$G$10)*(1-$K$31)*(1-$K$32)*(1-K33)</f>
        <v>0</v>
      </c>
    </row>
    <row r="42" spans="1:11" ht="15" hidden="1">
      <c r="A42" t="s">
        <v>11</v>
      </c>
      <c r="B42" s="6">
        <f>$B$25*$F$9*$F$10*(1-$B$31)*(1-$B$32)*(1-B34)*(1-B30)*(1-B35)</f>
        <v>60.87637394548062</v>
      </c>
      <c r="G42" s="47" t="s">
        <v>11</v>
      </c>
      <c r="H42" s="47"/>
      <c r="I42" s="47"/>
      <c r="J42" s="47"/>
      <c r="K42" s="6">
        <f>$K$25*$G$9*$G$10*(1-$K$31)*(1-$K$32)*(1-K34)*(1-K35)</f>
        <v>0</v>
      </c>
    </row>
    <row r="43" spans="1:11" ht="15" hidden="1">
      <c r="A43" t="s">
        <v>12</v>
      </c>
      <c r="B43" s="6">
        <f>$B$26*$H$9*(1-$H$10)*(1-$B$31)*(1-$B$32)*(1-B30)</f>
        <v>30.53213199426112</v>
      </c>
      <c r="G43" s="47" t="s">
        <v>12</v>
      </c>
      <c r="H43" s="47"/>
      <c r="I43" s="47"/>
      <c r="J43" s="47"/>
      <c r="K43" s="6">
        <f>$K$26*$I$9*(1-$I$10)*(1-$K$31)*(1-$K$32)</f>
        <v>0</v>
      </c>
    </row>
    <row r="44" spans="1:11" ht="15" hidden="1">
      <c r="A44" t="s">
        <v>13</v>
      </c>
      <c r="B44" s="6">
        <f>$B$26*$H$9*$H$10*(1-$B$31)*(1-$B$32)*(1-B30)</f>
        <v>28.18350645624103</v>
      </c>
      <c r="G44" s="47" t="s">
        <v>13</v>
      </c>
      <c r="H44" s="47"/>
      <c r="I44" s="47"/>
      <c r="J44" s="47"/>
      <c r="K44" s="6">
        <f>$K$26*$I$9*$I$10*(1-$K$31)*(1-$K$32)</f>
        <v>0</v>
      </c>
    </row>
    <row r="45" spans="1:11" ht="15" hidden="1">
      <c r="A45" t="s">
        <v>14</v>
      </c>
      <c r="B45" s="6">
        <f>$B$27*$J$9*(1-$J$10)*(1-$B$31)*(1-$B$32)*(1-B30)</f>
        <v>0</v>
      </c>
      <c r="G45" s="47" t="s">
        <v>14</v>
      </c>
      <c r="H45" s="47"/>
      <c r="I45" s="47"/>
      <c r="J45" s="47"/>
      <c r="K45" s="6">
        <f>$K$27*$K$9*(1-$K$10)*(1-$K$31)*(1-$K$32)</f>
        <v>17.71420408163265</v>
      </c>
    </row>
    <row r="46" spans="1:11" ht="15" hidden="1">
      <c r="A46" t="s">
        <v>15</v>
      </c>
      <c r="B46" s="6">
        <f>$B$27*$J$9*$J$10*(1-$B$31)*(1-$B$32)*(1-B30)</f>
        <v>0</v>
      </c>
      <c r="G46" s="47" t="s">
        <v>15</v>
      </c>
      <c r="H46" s="47"/>
      <c r="I46" s="47"/>
      <c r="J46" s="47"/>
      <c r="K46" s="6">
        <f>$K$27*$K$9*$K$10*(1-$K$31)*(1-$K$32)</f>
        <v>5.9047346938775505</v>
      </c>
    </row>
    <row r="47" spans="2:11" ht="15" hidden="1">
      <c r="B47" s="5"/>
      <c r="K47" s="5"/>
    </row>
    <row r="48" spans="1:11" ht="15">
      <c r="A48" t="s">
        <v>47</v>
      </c>
      <c r="B48" s="31">
        <f>(B37+B39+B41)*0.885</f>
        <v>98.87930762926828</v>
      </c>
      <c r="G48" s="47" t="s">
        <v>47</v>
      </c>
      <c r="H48" s="47"/>
      <c r="I48" s="47"/>
      <c r="J48" s="47"/>
      <c r="K48" s="31">
        <f>(K37+K39+K41)*0.885</f>
        <v>25.76688366210612</v>
      </c>
    </row>
    <row r="49" spans="1:11" ht="15">
      <c r="A49" t="s">
        <v>48</v>
      </c>
      <c r="B49" s="31">
        <f>(B38+B40+B42)*0.885</f>
        <v>123.01593265032999</v>
      </c>
      <c r="G49" s="47" t="s">
        <v>48</v>
      </c>
      <c r="H49" s="47"/>
      <c r="I49" s="47"/>
      <c r="J49" s="47"/>
      <c r="K49" s="31">
        <f>(K38+K40+K42)*0.885</f>
        <v>80.86161507669551</v>
      </c>
    </row>
    <row r="50" spans="2:11" ht="15">
      <c r="B50" s="32"/>
      <c r="K50" s="32"/>
    </row>
    <row r="51" spans="1:11" ht="15">
      <c r="A51" t="s">
        <v>49</v>
      </c>
      <c r="B51" s="31">
        <f>(B43+B45)*0.885</f>
        <v>27.020936814921093</v>
      </c>
      <c r="G51" s="47" t="s">
        <v>49</v>
      </c>
      <c r="H51" s="47"/>
      <c r="I51" s="47"/>
      <c r="J51" s="47"/>
      <c r="K51" s="31">
        <f>(K43+K45)*0.885</f>
        <v>15.677070612244897</v>
      </c>
    </row>
    <row r="52" spans="1:11" ht="15">
      <c r="A52" t="s">
        <v>50</v>
      </c>
      <c r="B52" s="31">
        <f>(B44+B46)*0.885</f>
        <v>24.94240321377331</v>
      </c>
      <c r="G52" s="47" t="s">
        <v>50</v>
      </c>
      <c r="H52" s="47"/>
      <c r="I52" s="47"/>
      <c r="J52" s="47"/>
      <c r="K52" s="31">
        <f>(K44+K46)*0.885</f>
        <v>5.225690204081632</v>
      </c>
    </row>
    <row r="53" spans="2:11" ht="15">
      <c r="B53" s="32"/>
      <c r="K53" s="32"/>
    </row>
    <row r="54" spans="1:11" ht="15.75" thickBot="1">
      <c r="A54" s="7" t="s">
        <v>24</v>
      </c>
      <c r="B54" s="8">
        <f>B48+B49+B51+B52</f>
        <v>273.8585803082927</v>
      </c>
      <c r="G54" s="55" t="s">
        <v>24</v>
      </c>
      <c r="H54" s="55"/>
      <c r="I54" s="55"/>
      <c r="J54" s="55"/>
      <c r="K54" s="33">
        <f>K48+K49+K51+K52</f>
        <v>127.53125955512816</v>
      </c>
    </row>
    <row r="55" ht="15.75" thickBot="1"/>
    <row r="56" spans="1:7" ht="19.5" thickBot="1">
      <c r="A56" s="56" t="s">
        <v>27</v>
      </c>
      <c r="B56" s="57"/>
      <c r="C56" s="57"/>
      <c r="D56" s="58"/>
      <c r="E56" s="52">
        <f>((B3*K3)+(B3*K4))*1.11</f>
        <v>183.15</v>
      </c>
      <c r="F56" s="53"/>
      <c r="G56" s="54"/>
    </row>
    <row r="57" spans="1:7" ht="19.5" thickBot="1">
      <c r="A57" s="56" t="s">
        <v>32</v>
      </c>
      <c r="B57" s="57"/>
      <c r="C57" s="57"/>
      <c r="D57" s="58"/>
      <c r="E57" s="52">
        <f>B49+K49</f>
        <v>203.8775477270255</v>
      </c>
      <c r="F57" s="53"/>
      <c r="G57" s="54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1"/>
      <c r="G59" s="1"/>
    </row>
    <row r="60" spans="1:7" ht="15">
      <c r="A60" s="1"/>
      <c r="B60" s="1"/>
      <c r="C60" s="1"/>
      <c r="D60" s="1"/>
      <c r="E60" s="1"/>
      <c r="F60" s="1"/>
      <c r="G60" s="1"/>
    </row>
  </sheetData>
  <sheetProtection password="8EDB" sheet="1"/>
  <mergeCells count="52">
    <mergeCell ref="E57:G57"/>
    <mergeCell ref="G46:J46"/>
    <mergeCell ref="A57:D57"/>
    <mergeCell ref="G48:J48"/>
    <mergeCell ref="G49:J49"/>
    <mergeCell ref="G51:J51"/>
    <mergeCell ref="A56:D56"/>
    <mergeCell ref="G44:J44"/>
    <mergeCell ref="G42:J42"/>
    <mergeCell ref="G33:J33"/>
    <mergeCell ref="G34:J34"/>
    <mergeCell ref="G43:J43"/>
    <mergeCell ref="G40:J40"/>
    <mergeCell ref="G41:J41"/>
    <mergeCell ref="G23:J23"/>
    <mergeCell ref="G20:J20"/>
    <mergeCell ref="G22:J22"/>
    <mergeCell ref="G31:J31"/>
    <mergeCell ref="E56:G56"/>
    <mergeCell ref="G54:J54"/>
    <mergeCell ref="G52:J52"/>
    <mergeCell ref="G27:J27"/>
    <mergeCell ref="G39:J39"/>
    <mergeCell ref="G45:J45"/>
    <mergeCell ref="G24:J24"/>
    <mergeCell ref="F7:G7"/>
    <mergeCell ref="H7:I7"/>
    <mergeCell ref="G14:J14"/>
    <mergeCell ref="G37:J37"/>
    <mergeCell ref="G38:J38"/>
    <mergeCell ref="G35:J35"/>
    <mergeCell ref="G17:J17"/>
    <mergeCell ref="G21:J21"/>
    <mergeCell ref="G32:J32"/>
    <mergeCell ref="A1:K1"/>
    <mergeCell ref="G3:J3"/>
    <mergeCell ref="G4:J4"/>
    <mergeCell ref="B6:G6"/>
    <mergeCell ref="H6:K6"/>
    <mergeCell ref="G30:J30"/>
    <mergeCell ref="G25:J25"/>
    <mergeCell ref="G26:J26"/>
    <mergeCell ref="G15:J15"/>
    <mergeCell ref="G12:K12"/>
    <mergeCell ref="A2:K2"/>
    <mergeCell ref="D7:E7"/>
    <mergeCell ref="G13:J13"/>
    <mergeCell ref="G18:J18"/>
    <mergeCell ref="G16:J16"/>
    <mergeCell ref="B7:C7"/>
    <mergeCell ref="A12:B12"/>
    <mergeCell ref="J7:K7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tdallas</dc:creator>
  <cp:keywords/>
  <dc:description/>
  <cp:lastModifiedBy>Stephen</cp:lastModifiedBy>
  <cp:lastPrinted>2010-06-15T20:34:04Z</cp:lastPrinted>
  <dcterms:created xsi:type="dcterms:W3CDTF">2009-06-01T19:46:15Z</dcterms:created>
  <dcterms:modified xsi:type="dcterms:W3CDTF">2016-11-24T20:50:39Z</dcterms:modified>
  <cp:category/>
  <cp:version/>
  <cp:contentType/>
  <cp:contentStatus/>
</cp:coreProperties>
</file>